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ente\Documents\Infiniti\Formação de preço de vendas\"/>
    </mc:Choice>
  </mc:AlternateContent>
  <xr:revisionPtr revIDLastSave="0" documentId="13_ncr:1_{BFC67842-6AA3-4E4B-B260-8F7ADA33937E}" xr6:coauthVersionLast="47" xr6:coauthVersionMax="47" xr10:uidLastSave="{00000000-0000-0000-0000-000000000000}"/>
  <bookViews>
    <workbookView xWindow="-120" yWindow="-120" windowWidth="20730" windowHeight="11160" activeTab="3" xr2:uid="{1A770295-B4BC-424F-B1D9-718E446B3B80}"/>
  </bookViews>
  <sheets>
    <sheet name="SIMPLES NACIONAL" sheetId="4" r:id="rId1"/>
    <sheet name="Lucro Presumido" sheetId="2" r:id="rId2"/>
    <sheet name="Lucro Real" sheetId="3" r:id="rId3"/>
    <sheet name="FORMAÇÃO PREÇO DE VENDAS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E30" i="1"/>
  <c r="D5" i="3"/>
  <c r="D7" i="3" s="1"/>
  <c r="D9" i="3" s="1"/>
  <c r="D10" i="2"/>
  <c r="D9" i="2"/>
  <c r="D8" i="2"/>
  <c r="C8" i="2"/>
  <c r="D6" i="2"/>
  <c r="C6" i="2"/>
  <c r="D10" i="3" l="1"/>
  <c r="D11" i="3" l="1"/>
  <c r="D12" i="3" l="1"/>
  <c r="D15" i="3" s="1"/>
  <c r="D16" i="3" s="1"/>
  <c r="C30" i="1" s="1"/>
  <c r="D13" i="3" l="1"/>
  <c r="Q36" i="1" l="1"/>
  <c r="O36" i="1"/>
  <c r="M36" i="1"/>
  <c r="Q29" i="1"/>
  <c r="O29" i="1"/>
  <c r="M29" i="1"/>
  <c r="Q20" i="1"/>
  <c r="O20" i="1"/>
  <c r="M20" i="1"/>
  <c r="Q16" i="1"/>
  <c r="O16" i="1"/>
  <c r="M16" i="1"/>
  <c r="H12" i="1"/>
  <c r="F12" i="1"/>
  <c r="D12" i="1"/>
  <c r="G35" i="1"/>
  <c r="E35" i="1"/>
  <c r="C35" i="1"/>
  <c r="H21" i="1"/>
  <c r="F21" i="1"/>
  <c r="D21" i="1"/>
  <c r="H15" i="1"/>
  <c r="H22" i="1" s="1"/>
  <c r="D15" i="1"/>
  <c r="D22" i="1" s="1"/>
  <c r="H9" i="1"/>
  <c r="H10" i="1"/>
  <c r="H11" i="1"/>
  <c r="H8" i="1"/>
  <c r="F11" i="1"/>
  <c r="F9" i="1"/>
  <c r="F10" i="1"/>
  <c r="F8" i="1"/>
  <c r="D9" i="1"/>
  <c r="D10" i="1"/>
  <c r="D11" i="1"/>
  <c r="D8" i="1"/>
  <c r="H35" i="1" l="1"/>
  <c r="H30" i="1" s="1"/>
  <c r="Q14" i="1" s="1"/>
  <c r="D35" i="1"/>
  <c r="F15" i="1"/>
  <c r="F22" i="1" s="1"/>
  <c r="F35" i="1" s="1"/>
  <c r="F38" i="1" s="1"/>
  <c r="O12" i="1" s="1"/>
  <c r="H27" i="1"/>
  <c r="H38" i="1"/>
  <c r="Q12" i="1" s="1"/>
  <c r="H32" i="1"/>
  <c r="Q17" i="1" s="1"/>
  <c r="H33" i="1"/>
  <c r="Q18" i="1" s="1"/>
  <c r="H28" i="1"/>
  <c r="Q10" i="1" s="1"/>
  <c r="H34" i="1"/>
  <c r="D37" i="1"/>
  <c r="M7" i="1" s="1"/>
  <c r="D27" i="1"/>
  <c r="D29" i="1"/>
  <c r="M11" i="1" s="1"/>
  <c r="D30" i="1"/>
  <c r="M14" i="1" s="1"/>
  <c r="D38" i="1"/>
  <c r="M12" i="1" s="1"/>
  <c r="D28" i="1"/>
  <c r="M10" i="1" s="1"/>
  <c r="D32" i="1"/>
  <c r="M17" i="1" s="1"/>
  <c r="D33" i="1"/>
  <c r="M18" i="1" s="1"/>
  <c r="D34" i="1"/>
  <c r="D31" i="1"/>
  <c r="M13" i="1" s="1"/>
  <c r="H31" i="1" l="1"/>
  <c r="Q13" i="1" s="1"/>
  <c r="H29" i="1"/>
  <c r="Q11" i="1" s="1"/>
  <c r="Q9" i="1"/>
  <c r="Q37" i="1"/>
  <c r="Q38" i="1" s="1"/>
  <c r="H37" i="1"/>
  <c r="Q7" i="1" s="1"/>
  <c r="M9" i="1"/>
  <c r="M37" i="1"/>
  <c r="M38" i="1" s="1"/>
  <c r="H40" i="1"/>
  <c r="F30" i="1"/>
  <c r="O14" i="1" s="1"/>
  <c r="F29" i="1"/>
  <c r="O11" i="1" s="1"/>
  <c r="F28" i="1"/>
  <c r="O10" i="1" s="1"/>
  <c r="F32" i="1"/>
  <c r="O17" i="1" s="1"/>
  <c r="F34" i="1"/>
  <c r="F37" i="1"/>
  <c r="F33" i="1"/>
  <c r="O18" i="1" s="1"/>
  <c r="F31" i="1"/>
  <c r="O13" i="1" s="1"/>
  <c r="F27" i="1"/>
  <c r="D40" i="1"/>
  <c r="Q6" i="1" l="1"/>
  <c r="Q8" i="1" s="1"/>
  <c r="Q15" i="1" s="1"/>
  <c r="Q19" i="1" s="1"/>
  <c r="Q21" i="1" s="1"/>
  <c r="Q28" i="1"/>
  <c r="Q31" i="1" s="1"/>
  <c r="Q35" i="1"/>
  <c r="Q40" i="1" s="1"/>
  <c r="O9" i="1"/>
  <c r="O37" i="1"/>
  <c r="O38" i="1" s="1"/>
  <c r="M6" i="1"/>
  <c r="M8" i="1" s="1"/>
  <c r="M15" i="1" s="1"/>
  <c r="M19" i="1" s="1"/>
  <c r="M21" i="1" s="1"/>
  <c r="M28" i="1"/>
  <c r="M31" i="1" s="1"/>
  <c r="M35" i="1"/>
  <c r="M40" i="1" s="1"/>
  <c r="F40" i="1"/>
  <c r="O7" i="1"/>
  <c r="O6" i="1" l="1"/>
  <c r="O28" i="1"/>
  <c r="O31" i="1" s="1"/>
  <c r="O35" i="1"/>
  <c r="O40" i="1" s="1"/>
  <c r="O8" i="1"/>
  <c r="O15" i="1" s="1"/>
  <c r="O19" i="1" s="1"/>
  <c r="O21" i="1" s="1"/>
</calcChain>
</file>

<file path=xl/sharedStrings.xml><?xml version="1.0" encoding="utf-8"?>
<sst xmlns="http://schemas.openxmlformats.org/spreadsheetml/2006/main" count="101" uniqueCount="79">
  <si>
    <t>Formação do Preço de Venda</t>
  </si>
  <si>
    <t>(-) ICMS</t>
  </si>
  <si>
    <t>(-) IPI</t>
  </si>
  <si>
    <t>(-) PIS</t>
  </si>
  <si>
    <t>(-) Cofins</t>
  </si>
  <si>
    <t>Custos de Produção</t>
  </si>
  <si>
    <t>Custo do produto</t>
  </si>
  <si>
    <t>Real</t>
  </si>
  <si>
    <t>Presumido</t>
  </si>
  <si>
    <t>Simples Nacional</t>
  </si>
  <si>
    <t>Outros Custos de vendas</t>
  </si>
  <si>
    <t>Frete / Seguro</t>
  </si>
  <si>
    <t>Embalagem</t>
  </si>
  <si>
    <t>Total outros custos</t>
  </si>
  <si>
    <t>Custo Total</t>
  </si>
  <si>
    <t>%</t>
  </si>
  <si>
    <t>VENDA</t>
  </si>
  <si>
    <t>GASTO</t>
  </si>
  <si>
    <t>ICMS</t>
  </si>
  <si>
    <t>PIS</t>
  </si>
  <si>
    <t>Cofins</t>
  </si>
  <si>
    <t>Imposto de Renda e CSLL</t>
  </si>
  <si>
    <t>Comissões</t>
  </si>
  <si>
    <t>Despesas Fixas</t>
  </si>
  <si>
    <t>Margem de Lucro</t>
  </si>
  <si>
    <t>Total Impostos e Margem</t>
  </si>
  <si>
    <t>IPI</t>
  </si>
  <si>
    <t>ICMS ST</t>
  </si>
  <si>
    <t>PREÇO DE VENDA</t>
  </si>
  <si>
    <t>DRE GERENCIAL</t>
  </si>
  <si>
    <t>FATURAMENTO BRUTO</t>
  </si>
  <si>
    <t>RECEITA BRUTA DE VENDAS</t>
  </si>
  <si>
    <t>(-)ICMS ST</t>
  </si>
  <si>
    <t>(-) SIMPLES NACIONAL</t>
  </si>
  <si>
    <t>(-)IMPOSTO DE RENDA E CSLL</t>
  </si>
  <si>
    <t>(-) FRETE/SEGURO/EMBALAGEM</t>
  </si>
  <si>
    <t>(-)COMISSÃO S/ VENDAS</t>
  </si>
  <si>
    <t>(-)DESPESAS FIXAS</t>
  </si>
  <si>
    <t>RECEITA LÍQUIDA IMPOSTOS</t>
  </si>
  <si>
    <t>RECEITA LÍQUIDA DESPESAS</t>
  </si>
  <si>
    <t>(-)CMV/CPV</t>
  </si>
  <si>
    <t>MARGEM DE LUCRO</t>
  </si>
  <si>
    <t>(-)IPI</t>
  </si>
  <si>
    <t>LUCRO REAL</t>
  </si>
  <si>
    <t>PRESUMIDO</t>
  </si>
  <si>
    <t>SIMPLES NACIONAL</t>
  </si>
  <si>
    <t>INDICADORES</t>
  </si>
  <si>
    <t>MARGEM BRUTA</t>
  </si>
  <si>
    <t>VENDAS</t>
  </si>
  <si>
    <t>CMV</t>
  </si>
  <si>
    <t>MB</t>
  </si>
  <si>
    <t>MARGEM DE CONTRIBUIÇÃO</t>
  </si>
  <si>
    <t>VARIÁVEIS</t>
  </si>
  <si>
    <t>Total variáveis</t>
  </si>
  <si>
    <t>MC</t>
  </si>
  <si>
    <t>Venda</t>
  </si>
  <si>
    <t>Receita de vendas em geral</t>
  </si>
  <si>
    <t>Presunção de Lucro</t>
  </si>
  <si>
    <t>Base de Cálculo</t>
  </si>
  <si>
    <t>Valor individual</t>
  </si>
  <si>
    <t>Valor Total</t>
  </si>
  <si>
    <t>Carga tributária Total</t>
  </si>
  <si>
    <t>IRPJ</t>
  </si>
  <si>
    <t>CSLL</t>
  </si>
  <si>
    <t>Impostos s/ venda</t>
  </si>
  <si>
    <t>Vendas Líquidas</t>
  </si>
  <si>
    <t>CMV/CPV</t>
  </si>
  <si>
    <t>Lucro Bruto</t>
  </si>
  <si>
    <t>Despesas</t>
  </si>
  <si>
    <t>Resultado antes da CSLL e do IRPJ</t>
  </si>
  <si>
    <t>Resultado antes o IRPJ</t>
  </si>
  <si>
    <t>RESULTADO DO EXERCÍCIO</t>
  </si>
  <si>
    <t>Total dos impostos</t>
  </si>
  <si>
    <t>Carga tributária</t>
  </si>
  <si>
    <t>VALOR</t>
  </si>
  <si>
    <t>ANEXO:</t>
  </si>
  <si>
    <t>II</t>
  </si>
  <si>
    <t>ALÍQUOTA:</t>
  </si>
  <si>
    <t>Valor de Compra (matéria prima ou revenda)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</si>
</sst>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3" borderId="0" xfId="0" applyFont="1" applyFill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4" borderId="0" xfId="0" applyFont="1" applyFill="1"/>
    <xf numFmtId="0" fontId="4" fillId="0" borderId="0" xfId="0" applyFont="1"/>
    <xf numFmtId="0" fontId="5" fillId="0" borderId="0" xfId="0" applyFont="1"/>
    <xf numFmtId="164" fontId="2" fillId="3" borderId="2" xfId="0" applyNumberFormat="1" applyFont="1" applyFill="1" applyBorder="1"/>
    <xf numFmtId="164" fontId="0" fillId="2" borderId="1" xfId="0" applyNumberFormat="1" applyFill="1" applyBorder="1"/>
    <xf numFmtId="164" fontId="0" fillId="0" borderId="0" xfId="0" applyNumberFormat="1"/>
    <xf numFmtId="164" fontId="2" fillId="4" borderId="1" xfId="0" applyNumberFormat="1" applyFont="1" applyFill="1" applyBorder="1"/>
    <xf numFmtId="164" fontId="0" fillId="5" borderId="1" xfId="0" applyNumberFormat="1" applyFill="1" applyBorder="1"/>
    <xf numFmtId="10" fontId="0" fillId="0" borderId="1" xfId="1" applyNumberFormat="1" applyFont="1" applyFill="1" applyBorder="1"/>
    <xf numFmtId="10" fontId="2" fillId="4" borderId="0" xfId="1" applyNumberFormat="1" applyFont="1" applyFill="1"/>
    <xf numFmtId="10" fontId="0" fillId="0" borderId="0" xfId="1" applyNumberFormat="1" applyFont="1"/>
    <xf numFmtId="10" fontId="0" fillId="0" borderId="1" xfId="1" applyNumberFormat="1" applyFont="1" applyBorder="1"/>
    <xf numFmtId="10" fontId="0" fillId="0" borderId="0" xfId="1" applyNumberFormat="1" applyFont="1" applyBorder="1"/>
    <xf numFmtId="10" fontId="0" fillId="0" borderId="0" xfId="0" applyNumberFormat="1"/>
    <xf numFmtId="10" fontId="2" fillId="0" borderId="1" xfId="0" applyNumberFormat="1" applyFont="1" applyBorder="1" applyAlignment="1">
      <alignment horizontal="center"/>
    </xf>
    <xf numFmtId="164" fontId="0" fillId="6" borderId="1" xfId="0" applyNumberFormat="1" applyFill="1" applyBorder="1"/>
    <xf numFmtId="10" fontId="2" fillId="3" borderId="1" xfId="1" applyNumberFormat="1" applyFont="1" applyFill="1" applyBorder="1"/>
    <xf numFmtId="164" fontId="2" fillId="3" borderId="1" xfId="0" applyNumberFormat="1" applyFont="1" applyFill="1" applyBorder="1"/>
    <xf numFmtId="164" fontId="0" fillId="6" borderId="2" xfId="0" applyNumberFormat="1" applyFill="1" applyBorder="1"/>
    <xf numFmtId="164" fontId="2" fillId="2" borderId="0" xfId="0" applyNumberFormat="1" applyFont="1" applyFill="1"/>
    <xf numFmtId="164" fontId="0" fillId="2" borderId="0" xfId="0" applyNumberFormat="1" applyFill="1"/>
    <xf numFmtId="164" fontId="2" fillId="3" borderId="0" xfId="0" applyNumberFormat="1" applyFont="1" applyFill="1"/>
    <xf numFmtId="10" fontId="2" fillId="3" borderId="0" xfId="1" applyNumberFormat="1" applyFont="1" applyFill="1"/>
    <xf numFmtId="2" fontId="0" fillId="0" borderId="0" xfId="0" applyNumberFormat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7" borderId="3" xfId="0" applyFont="1" applyFill="1" applyBorder="1"/>
    <xf numFmtId="0" fontId="6" fillId="7" borderId="4" xfId="0" applyFont="1" applyFill="1" applyBorder="1" applyAlignment="1">
      <alignment horizontal="center" vertical="center"/>
    </xf>
    <xf numFmtId="10" fontId="6" fillId="7" borderId="5" xfId="1" applyNumberFormat="1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2" fillId="2" borderId="3" xfId="0" applyFont="1" applyFill="1" applyBorder="1"/>
    <xf numFmtId="0" fontId="2" fillId="2" borderId="4" xfId="0" applyFont="1" applyFill="1" applyBorder="1"/>
    <xf numFmtId="164" fontId="2" fillId="2" borderId="5" xfId="0" applyNumberFormat="1" applyFont="1" applyFill="1" applyBorder="1"/>
    <xf numFmtId="0" fontId="0" fillId="0" borderId="6" xfId="0" applyBorder="1"/>
    <xf numFmtId="0" fontId="0" fillId="0" borderId="7" xfId="0" applyBorder="1"/>
    <xf numFmtId="164" fontId="0" fillId="0" borderId="8" xfId="0" applyNumberFormat="1" applyBorder="1"/>
    <xf numFmtId="0" fontId="0" fillId="0" borderId="9" xfId="0" applyBorder="1"/>
    <xf numFmtId="164" fontId="0" fillId="0" borderId="10" xfId="0" applyNumberFormat="1" applyBorder="1"/>
    <xf numFmtId="9" fontId="0" fillId="8" borderId="0" xfId="0" applyNumberFormat="1" applyFill="1"/>
    <xf numFmtId="0" fontId="2" fillId="2" borderId="6" xfId="0" applyFont="1" applyFill="1" applyBorder="1"/>
    <xf numFmtId="0" fontId="2" fillId="2" borderId="7" xfId="0" applyFont="1" applyFill="1" applyBorder="1"/>
    <xf numFmtId="164" fontId="2" fillId="2" borderId="8" xfId="0" applyNumberFormat="1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10" fontId="2" fillId="2" borderId="13" xfId="1" applyNumberFormat="1" applyFont="1" applyFill="1" applyBorder="1"/>
    <xf numFmtId="10" fontId="0" fillId="9" borderId="1" xfId="1" applyNumberFormat="1" applyFont="1" applyFill="1" applyBorder="1"/>
    <xf numFmtId="0" fontId="3" fillId="0" borderId="0" xfId="0" applyFont="1" applyAlignment="1">
      <alignment horizontal="left"/>
    </xf>
    <xf numFmtId="0" fontId="8" fillId="0" borderId="0" xfId="0" applyFont="1"/>
    <xf numFmtId="0" fontId="8" fillId="0" borderId="14" xfId="0" applyFont="1" applyBorder="1" applyAlignment="1">
      <alignment horizontal="center" vertical="center"/>
    </xf>
    <xf numFmtId="10" fontId="8" fillId="0" borderId="14" xfId="1" applyNumberFormat="1" applyFont="1" applyBorder="1"/>
    <xf numFmtId="0" fontId="6" fillId="0" borderId="0" xfId="0" applyFon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C0E9B-D1A2-4021-9626-2FDBFADA496F}">
  <dimension ref="B3:C8"/>
  <sheetViews>
    <sheetView showGridLines="0" workbookViewId="0">
      <selection activeCell="G12" sqref="G12"/>
    </sheetView>
  </sheetViews>
  <sheetFormatPr defaultRowHeight="15" x14ac:dyDescent="0.25"/>
  <cols>
    <col min="2" max="2" width="17.140625" customWidth="1"/>
    <col min="3" max="3" width="14.85546875" customWidth="1"/>
  </cols>
  <sheetData>
    <row r="3" spans="2:3" ht="15.75" thickBot="1" x14ac:dyDescent="0.3"/>
    <row r="4" spans="2:3" ht="19.5" thickBot="1" x14ac:dyDescent="0.35">
      <c r="B4" s="61" t="s">
        <v>75</v>
      </c>
      <c r="C4" s="59" t="s">
        <v>76</v>
      </c>
    </row>
    <row r="5" spans="2:3" ht="18.75" x14ac:dyDescent="0.3">
      <c r="B5" s="61"/>
      <c r="C5" s="58"/>
    </row>
    <row r="6" spans="2:3" ht="19.5" thickBot="1" x14ac:dyDescent="0.35">
      <c r="B6" s="61"/>
      <c r="C6" s="58"/>
    </row>
    <row r="7" spans="2:3" ht="19.5" thickBot="1" x14ac:dyDescent="0.35">
      <c r="B7" s="61" t="s">
        <v>77</v>
      </c>
      <c r="C7" s="60">
        <v>4.4999999999999998E-2</v>
      </c>
    </row>
    <row r="8" spans="2:3" x14ac:dyDescent="0.25">
      <c r="B8" s="4"/>
    </row>
  </sheetData>
  <dataValidations count="1">
    <dataValidation type="list" allowBlank="1" showInputMessage="1" showErrorMessage="1" sqref="C4" xr:uid="{1011E470-8196-4DE8-833F-85ED4C70E2ED}">
      <formula1>"I,II"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3869-DFB2-4AFB-B704-BEB71C765BE8}">
  <dimension ref="B2:D10"/>
  <sheetViews>
    <sheetView showGridLines="0" workbookViewId="0">
      <selection activeCell="G1" sqref="G1"/>
    </sheetView>
  </sheetViews>
  <sheetFormatPr defaultRowHeight="15" x14ac:dyDescent="0.25"/>
  <cols>
    <col min="2" max="2" width="25.7109375" bestFit="1" customWidth="1"/>
    <col min="3" max="3" width="15.5703125" customWidth="1"/>
    <col min="4" max="4" width="16.85546875" customWidth="1"/>
  </cols>
  <sheetData>
    <row r="2" spans="2:4" ht="15.75" x14ac:dyDescent="0.25">
      <c r="B2" s="40" t="s">
        <v>55</v>
      </c>
      <c r="C2" s="40" t="s">
        <v>62</v>
      </c>
      <c r="D2" s="40" t="s">
        <v>63</v>
      </c>
    </row>
    <row r="4" spans="2:4" x14ac:dyDescent="0.25">
      <c r="B4" s="30" t="s">
        <v>56</v>
      </c>
      <c r="C4" s="31">
        <v>150000</v>
      </c>
      <c r="D4" s="31">
        <v>150000</v>
      </c>
    </row>
    <row r="5" spans="2:4" x14ac:dyDescent="0.25">
      <c r="B5" s="30" t="s">
        <v>57</v>
      </c>
      <c r="C5" s="32">
        <v>0.08</v>
      </c>
      <c r="D5" s="32">
        <v>0.12</v>
      </c>
    </row>
    <row r="6" spans="2:4" x14ac:dyDescent="0.25">
      <c r="B6" s="30" t="s">
        <v>58</v>
      </c>
      <c r="C6" s="31">
        <f>C4*C5</f>
        <v>12000</v>
      </c>
      <c r="D6" s="31">
        <f>D4*D5</f>
        <v>18000</v>
      </c>
    </row>
    <row r="7" spans="2:4" x14ac:dyDescent="0.25">
      <c r="B7" s="30" t="s">
        <v>15</v>
      </c>
      <c r="C7" s="33">
        <v>0.15</v>
      </c>
      <c r="D7" s="33">
        <v>0.09</v>
      </c>
    </row>
    <row r="8" spans="2:4" x14ac:dyDescent="0.25">
      <c r="B8" s="4" t="s">
        <v>59</v>
      </c>
      <c r="C8" s="34">
        <f>C6*C7</f>
        <v>1800</v>
      </c>
      <c r="D8" s="34">
        <f>D6*D7</f>
        <v>1620</v>
      </c>
    </row>
    <row r="9" spans="2:4" ht="15.75" thickBot="1" x14ac:dyDescent="0.3">
      <c r="B9" s="4" t="s">
        <v>60</v>
      </c>
      <c r="C9" s="35"/>
      <c r="D9" s="34">
        <f>C8+D8</f>
        <v>3420</v>
      </c>
    </row>
    <row r="10" spans="2:4" ht="19.5" thickBot="1" x14ac:dyDescent="0.35">
      <c r="B10" s="36" t="s">
        <v>61</v>
      </c>
      <c r="C10" s="37"/>
      <c r="D10" s="38">
        <f>D9/D4</f>
        <v>2.2800000000000001E-2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EFBF-8F68-45EB-894B-7C7086A91B32}">
  <dimension ref="B2:D16"/>
  <sheetViews>
    <sheetView workbookViewId="0">
      <selection activeCell="G10" sqref="G10"/>
    </sheetView>
  </sheetViews>
  <sheetFormatPr defaultRowHeight="15" x14ac:dyDescent="0.25"/>
  <cols>
    <col min="2" max="2" width="31" bestFit="1" customWidth="1"/>
    <col min="4" max="4" width="19" customWidth="1"/>
  </cols>
  <sheetData>
    <row r="2" spans="2:4" ht="15.75" thickBot="1" x14ac:dyDescent="0.3">
      <c r="D2" s="39" t="s">
        <v>74</v>
      </c>
    </row>
    <row r="3" spans="2:4" x14ac:dyDescent="0.25">
      <c r="B3" s="44" t="s">
        <v>56</v>
      </c>
      <c r="C3" s="45"/>
      <c r="D3" s="46">
        <v>150000</v>
      </c>
    </row>
    <row r="4" spans="2:4" ht="15.75" thickBot="1" x14ac:dyDescent="0.3">
      <c r="B4" s="47" t="s">
        <v>64</v>
      </c>
      <c r="D4" s="48">
        <v>25000</v>
      </c>
    </row>
    <row r="5" spans="2:4" ht="15.75" thickBot="1" x14ac:dyDescent="0.3">
      <c r="B5" s="41" t="s">
        <v>65</v>
      </c>
      <c r="C5" s="42"/>
      <c r="D5" s="43">
        <f>D3-D4</f>
        <v>125000</v>
      </c>
    </row>
    <row r="6" spans="2:4" ht="15.75" thickBot="1" x14ac:dyDescent="0.3">
      <c r="B6" s="47" t="s">
        <v>66</v>
      </c>
      <c r="D6" s="48">
        <v>50000</v>
      </c>
    </row>
    <row r="7" spans="2:4" ht="15.75" thickBot="1" x14ac:dyDescent="0.3">
      <c r="B7" s="41" t="s">
        <v>67</v>
      </c>
      <c r="C7" s="42"/>
      <c r="D7" s="43">
        <f>D5-D6</f>
        <v>75000</v>
      </c>
    </row>
    <row r="8" spans="2:4" ht="15.75" thickBot="1" x14ac:dyDescent="0.3">
      <c r="B8" s="47" t="s">
        <v>68</v>
      </c>
      <c r="D8" s="48">
        <v>20000</v>
      </c>
    </row>
    <row r="9" spans="2:4" ht="15.75" thickBot="1" x14ac:dyDescent="0.3">
      <c r="B9" s="41" t="s">
        <v>69</v>
      </c>
      <c r="C9" s="42"/>
      <c r="D9" s="43">
        <f>D7-D8</f>
        <v>55000</v>
      </c>
    </row>
    <row r="10" spans="2:4" ht="15.75" thickBot="1" x14ac:dyDescent="0.3">
      <c r="B10" s="47" t="s">
        <v>63</v>
      </c>
      <c r="C10" s="49">
        <v>0.09</v>
      </c>
      <c r="D10" s="48">
        <f>D9*C10</f>
        <v>4950</v>
      </c>
    </row>
    <row r="11" spans="2:4" ht="15.75" thickBot="1" x14ac:dyDescent="0.3">
      <c r="B11" s="41" t="s">
        <v>70</v>
      </c>
      <c r="C11" s="42"/>
      <c r="D11" s="43">
        <f>D9-D10</f>
        <v>50050</v>
      </c>
    </row>
    <row r="12" spans="2:4" ht="15.75" thickBot="1" x14ac:dyDescent="0.3">
      <c r="B12" s="47" t="s">
        <v>62</v>
      </c>
      <c r="C12" s="49">
        <v>0.15</v>
      </c>
      <c r="D12" s="48">
        <f>D11*C12</f>
        <v>7507.5</v>
      </c>
    </row>
    <row r="13" spans="2:4" ht="15.75" thickBot="1" x14ac:dyDescent="0.3">
      <c r="B13" s="41" t="s">
        <v>71</v>
      </c>
      <c r="C13" s="42"/>
      <c r="D13" s="43">
        <f>D11-D12</f>
        <v>42542.5</v>
      </c>
    </row>
    <row r="14" spans="2:4" ht="15.75" thickBot="1" x14ac:dyDescent="0.3"/>
    <row r="15" spans="2:4" x14ac:dyDescent="0.25">
      <c r="B15" s="50" t="s">
        <v>72</v>
      </c>
      <c r="C15" s="51"/>
      <c r="D15" s="52">
        <f>D10+D12</f>
        <v>12457.5</v>
      </c>
    </row>
    <row r="16" spans="2:4" ht="15.75" thickBot="1" x14ac:dyDescent="0.3">
      <c r="B16" s="53" t="s">
        <v>73</v>
      </c>
      <c r="C16" s="54"/>
      <c r="D16" s="55">
        <f>D15/D3</f>
        <v>8.3049999999999999E-2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B9E94-3AC0-4A44-AD45-C15FF117C8B1}">
  <dimension ref="B3:S47"/>
  <sheetViews>
    <sheetView showGridLines="0" tabSelected="1" zoomScale="90" zoomScaleNormal="90" workbookViewId="0">
      <selection activeCell="E2" sqref="E2"/>
    </sheetView>
  </sheetViews>
  <sheetFormatPr defaultRowHeight="15" x14ac:dyDescent="0.25"/>
  <cols>
    <col min="2" max="2" width="41.42578125" bestFit="1" customWidth="1"/>
    <col min="3" max="3" width="9.85546875" customWidth="1"/>
    <col min="4" max="4" width="11.42578125" bestFit="1" customWidth="1"/>
    <col min="6" max="6" width="11.42578125" bestFit="1" customWidth="1"/>
    <col min="8" max="8" width="16.28515625" bestFit="1" customWidth="1"/>
    <col min="12" max="12" width="29.42578125" bestFit="1" customWidth="1"/>
    <col min="13" max="13" width="12" bestFit="1" customWidth="1"/>
    <col min="15" max="15" width="12" bestFit="1" customWidth="1"/>
    <col min="17" max="17" width="18.42578125" bestFit="1" customWidth="1"/>
  </cols>
  <sheetData>
    <row r="3" spans="2:19" ht="26.25" x14ac:dyDescent="0.4">
      <c r="B3" s="57" t="s">
        <v>0</v>
      </c>
      <c r="C3" s="57"/>
      <c r="D3" s="57"/>
      <c r="E3" s="57"/>
      <c r="F3" s="57"/>
      <c r="L3" s="57" t="s">
        <v>29</v>
      </c>
      <c r="M3" s="57"/>
      <c r="N3" s="57"/>
      <c r="O3" s="57"/>
      <c r="P3" s="57"/>
    </row>
    <row r="5" spans="2:19" ht="15.75" x14ac:dyDescent="0.25">
      <c r="B5" s="7" t="s">
        <v>17</v>
      </c>
      <c r="M5" s="4" t="s">
        <v>43</v>
      </c>
      <c r="N5" s="4"/>
      <c r="O5" s="4" t="s">
        <v>44</v>
      </c>
      <c r="P5" s="4"/>
      <c r="Q5" s="4" t="s">
        <v>45</v>
      </c>
    </row>
    <row r="6" spans="2:19" x14ac:dyDescent="0.25">
      <c r="C6" s="5" t="s">
        <v>15</v>
      </c>
      <c r="D6" s="5" t="s">
        <v>7</v>
      </c>
      <c r="E6" s="5" t="s">
        <v>15</v>
      </c>
      <c r="F6" s="5" t="s">
        <v>8</v>
      </c>
      <c r="G6" s="5" t="s">
        <v>15</v>
      </c>
      <c r="H6" s="5" t="s">
        <v>9</v>
      </c>
      <c r="L6" s="2" t="s">
        <v>30</v>
      </c>
      <c r="M6" s="25">
        <f>D40</f>
        <v>9481.3033507453183</v>
      </c>
      <c r="N6" s="2"/>
      <c r="O6" s="25">
        <f>F40</f>
        <v>7791.9205818753699</v>
      </c>
      <c r="P6" s="2"/>
      <c r="Q6" s="25">
        <f>H40</f>
        <v>6187.7667140825042</v>
      </c>
      <c r="R6" s="4"/>
    </row>
    <row r="7" spans="2:19" x14ac:dyDescent="0.25">
      <c r="B7" s="3" t="s">
        <v>78</v>
      </c>
      <c r="C7" s="3"/>
      <c r="D7" s="9">
        <v>2500</v>
      </c>
      <c r="E7" s="3"/>
      <c r="F7" s="9">
        <v>2500</v>
      </c>
      <c r="G7" s="3"/>
      <c r="H7" s="9">
        <v>2500</v>
      </c>
      <c r="L7" s="1" t="s">
        <v>42</v>
      </c>
      <c r="M7" s="26">
        <f>D37</f>
        <v>451.49063574977708</v>
      </c>
      <c r="N7" s="1"/>
      <c r="O7" s="26">
        <f>F37</f>
        <v>371.04383723216051</v>
      </c>
      <c r="P7" s="1"/>
      <c r="Q7" s="26">
        <f>H37</f>
        <v>0</v>
      </c>
    </row>
    <row r="8" spans="2:19" x14ac:dyDescent="0.25">
      <c r="B8" t="s">
        <v>1</v>
      </c>
      <c r="C8" s="14">
        <v>0.18</v>
      </c>
      <c r="D8" s="10">
        <f>($D$7*C8)*-1</f>
        <v>-450</v>
      </c>
      <c r="E8" s="14">
        <v>0.18</v>
      </c>
      <c r="F8" s="10">
        <f>($F$7*E8)*-1</f>
        <v>-450</v>
      </c>
      <c r="G8" s="14"/>
      <c r="H8" s="10">
        <f>($H$7*G8)*-1</f>
        <v>0</v>
      </c>
      <c r="L8" s="2" t="s">
        <v>31</v>
      </c>
      <c r="M8" s="25">
        <f>M6-M7</f>
        <v>9029.8127149955417</v>
      </c>
      <c r="N8" s="2"/>
      <c r="O8" s="25">
        <f>O6-O7</f>
        <v>7420.8767446432093</v>
      </c>
      <c r="P8" s="2"/>
      <c r="Q8" s="25">
        <f>Q6-Q7</f>
        <v>6187.7667140825042</v>
      </c>
      <c r="R8" s="4"/>
      <c r="S8" s="4"/>
    </row>
    <row r="9" spans="2:19" x14ac:dyDescent="0.25">
      <c r="B9" t="s">
        <v>2</v>
      </c>
      <c r="C9" s="14">
        <v>0.05</v>
      </c>
      <c r="D9" s="10">
        <f t="shared" ref="D9:D12" si="0">($D$7*C9)*-1</f>
        <v>-125</v>
      </c>
      <c r="E9" s="14">
        <v>0.05</v>
      </c>
      <c r="F9" s="10">
        <f t="shared" ref="F9:F10" si="1">($F$7*E9)*-1</f>
        <v>-125</v>
      </c>
      <c r="G9" s="14"/>
      <c r="H9" s="10">
        <f t="shared" ref="H9:H11" si="2">($H$7*G9)*-1</f>
        <v>0</v>
      </c>
      <c r="L9" s="1" t="s">
        <v>1</v>
      </c>
      <c r="M9" s="26">
        <f>D27</f>
        <v>1625.3662886991974</v>
      </c>
      <c r="N9" s="1"/>
      <c r="O9" s="26">
        <f>F27</f>
        <v>1335.7578140357775</v>
      </c>
      <c r="P9" s="1"/>
      <c r="Q9" s="26">
        <f>H27</f>
        <v>0</v>
      </c>
    </row>
    <row r="10" spans="2:19" x14ac:dyDescent="0.25">
      <c r="B10" t="s">
        <v>3</v>
      </c>
      <c r="C10" s="14">
        <v>1.6500000000000001E-2</v>
      </c>
      <c r="D10" s="10">
        <f t="shared" si="0"/>
        <v>-41.25</v>
      </c>
      <c r="E10" s="14"/>
      <c r="F10" s="10">
        <f t="shared" si="1"/>
        <v>0</v>
      </c>
      <c r="G10" s="14"/>
      <c r="H10" s="10">
        <f t="shared" si="2"/>
        <v>0</v>
      </c>
      <c r="L10" s="1" t="s">
        <v>3</v>
      </c>
      <c r="M10" s="26">
        <f>D28</f>
        <v>148.99190979742644</v>
      </c>
      <c r="N10" s="1"/>
      <c r="O10" s="26">
        <f>F28</f>
        <v>48.235698840180859</v>
      </c>
      <c r="P10" s="1"/>
      <c r="Q10" s="26">
        <f>H28</f>
        <v>0</v>
      </c>
    </row>
    <row r="11" spans="2:19" x14ac:dyDescent="0.25">
      <c r="B11" t="s">
        <v>4</v>
      </c>
      <c r="C11" s="14">
        <v>7.5999999999999998E-2</v>
      </c>
      <c r="D11" s="10">
        <f t="shared" si="0"/>
        <v>-190</v>
      </c>
      <c r="E11" s="14"/>
      <c r="F11" s="10">
        <f>($F$7*E11)*-1</f>
        <v>0</v>
      </c>
      <c r="G11" s="14"/>
      <c r="H11" s="10">
        <f t="shared" si="2"/>
        <v>0</v>
      </c>
      <c r="L11" s="1" t="s">
        <v>4</v>
      </c>
      <c r="M11" s="26">
        <f>D29</f>
        <v>686.26576633966113</v>
      </c>
      <c r="N11" s="1"/>
      <c r="O11" s="26">
        <f>F29</f>
        <v>222.62630233929627</v>
      </c>
      <c r="P11" s="1"/>
      <c r="Q11" s="26">
        <f>H29</f>
        <v>0</v>
      </c>
    </row>
    <row r="12" spans="2:19" x14ac:dyDescent="0.25">
      <c r="B12" t="s">
        <v>32</v>
      </c>
      <c r="C12" s="14">
        <v>0</v>
      </c>
      <c r="D12" s="10">
        <f t="shared" si="0"/>
        <v>0</v>
      </c>
      <c r="E12" s="14"/>
      <c r="F12" s="10">
        <f>F7*E12</f>
        <v>0</v>
      </c>
      <c r="G12" s="14"/>
      <c r="H12" s="10">
        <f>H7*G12</f>
        <v>0</v>
      </c>
      <c r="L12" s="1" t="s">
        <v>32</v>
      </c>
      <c r="M12" s="26">
        <f>D38</f>
        <v>0</v>
      </c>
      <c r="N12" s="1"/>
      <c r="O12" s="26">
        <f>F38</f>
        <v>0</v>
      </c>
      <c r="P12" s="1"/>
      <c r="Q12" s="26">
        <f>H38</f>
        <v>0</v>
      </c>
    </row>
    <row r="13" spans="2:19" x14ac:dyDescent="0.25">
      <c r="B13" t="s">
        <v>5</v>
      </c>
      <c r="D13" s="24">
        <v>1500</v>
      </c>
      <c r="E13" s="16"/>
      <c r="F13" s="24">
        <v>1500</v>
      </c>
      <c r="G13" s="16"/>
      <c r="H13" s="24">
        <v>1500</v>
      </c>
      <c r="L13" s="1" t="s">
        <v>33</v>
      </c>
      <c r="M13" s="26">
        <f>D31</f>
        <v>0</v>
      </c>
      <c r="N13" s="1"/>
      <c r="O13" s="26">
        <f>F31</f>
        <v>0</v>
      </c>
      <c r="P13" s="1"/>
      <c r="Q13" s="26">
        <f>H31</f>
        <v>278.44950213371266</v>
      </c>
    </row>
    <row r="14" spans="2:19" x14ac:dyDescent="0.25">
      <c r="D14" s="11"/>
      <c r="E14" s="18"/>
      <c r="F14" s="11"/>
      <c r="G14" s="18"/>
      <c r="H14" s="11"/>
      <c r="L14" s="1" t="s">
        <v>34</v>
      </c>
      <c r="M14" s="26">
        <f>D30</f>
        <v>749.92594598037977</v>
      </c>
      <c r="N14" s="1"/>
      <c r="O14" s="26">
        <f>F30</f>
        <v>169.19598977786518</v>
      </c>
      <c r="P14" s="1"/>
      <c r="Q14" s="26">
        <f>H30</f>
        <v>0</v>
      </c>
    </row>
    <row r="15" spans="2:19" x14ac:dyDescent="0.25">
      <c r="B15" s="6" t="s">
        <v>6</v>
      </c>
      <c r="C15" s="6"/>
      <c r="D15" s="12">
        <f>SUM(D7:D14)</f>
        <v>3193.75</v>
      </c>
      <c r="E15" s="15"/>
      <c r="F15" s="12">
        <f>SUM(F7:F14)</f>
        <v>3425</v>
      </c>
      <c r="G15" s="15"/>
      <c r="H15" s="12">
        <f>SUM(H7:H14)</f>
        <v>4000</v>
      </c>
      <c r="L15" s="2" t="s">
        <v>38</v>
      </c>
      <c r="M15" s="25">
        <f>M8-M9-M10-M11-M12-M13-M14</f>
        <v>5819.2628041788776</v>
      </c>
      <c r="N15" s="2"/>
      <c r="O15" s="25">
        <f>O8-O9-O10-O11-O12-O13-O14</f>
        <v>5645.0609396500895</v>
      </c>
      <c r="P15" s="2"/>
      <c r="Q15" s="25">
        <f>Q8-Q9-Q10-Q11-Q12-Q13-Q14</f>
        <v>5909.3172119487917</v>
      </c>
    </row>
    <row r="16" spans="2:19" x14ac:dyDescent="0.25">
      <c r="D16" s="11"/>
      <c r="E16" s="16"/>
      <c r="F16" s="11"/>
      <c r="G16" s="16"/>
      <c r="H16" s="11"/>
      <c r="L16" s="1" t="s">
        <v>35</v>
      </c>
      <c r="M16" s="26">
        <f>D21</f>
        <v>350</v>
      </c>
      <c r="N16" s="1"/>
      <c r="O16" s="26">
        <f>F21</f>
        <v>350</v>
      </c>
      <c r="P16" s="1"/>
      <c r="Q16" s="26">
        <f>H21</f>
        <v>350</v>
      </c>
      <c r="R16" s="4"/>
      <c r="S16" s="4"/>
    </row>
    <row r="17" spans="2:19" x14ac:dyDescent="0.25">
      <c r="B17" s="8" t="s">
        <v>10</v>
      </c>
      <c r="D17" s="11"/>
      <c r="E17" s="16"/>
      <c r="F17" s="11"/>
      <c r="G17" s="16"/>
      <c r="H17" s="11"/>
      <c r="L17" s="1" t="s">
        <v>36</v>
      </c>
      <c r="M17" s="26">
        <f>D32</f>
        <v>180.59625429991084</v>
      </c>
      <c r="N17" s="1"/>
      <c r="O17" s="26">
        <f>F32</f>
        <v>148.41753489286418</v>
      </c>
      <c r="P17" s="1"/>
      <c r="Q17" s="26">
        <f>H32</f>
        <v>123.75533428165009</v>
      </c>
    </row>
    <row r="18" spans="2:19" x14ac:dyDescent="0.25">
      <c r="B18" t="s">
        <v>11</v>
      </c>
      <c r="D18" s="21">
        <v>200</v>
      </c>
      <c r="E18" s="16"/>
      <c r="F18" s="21">
        <v>200</v>
      </c>
      <c r="G18" s="16"/>
      <c r="H18" s="21">
        <v>200</v>
      </c>
      <c r="L18" s="1" t="s">
        <v>37</v>
      </c>
      <c r="M18" s="26">
        <f>D33</f>
        <v>288.95400687985733</v>
      </c>
      <c r="N18" s="1"/>
      <c r="O18" s="26">
        <f>F33</f>
        <v>237.46805582858269</v>
      </c>
      <c r="P18" s="1"/>
      <c r="Q18" s="26">
        <f>H33</f>
        <v>198.00853485064013</v>
      </c>
    </row>
    <row r="19" spans="2:19" x14ac:dyDescent="0.25">
      <c r="B19" t="s">
        <v>12</v>
      </c>
      <c r="D19" s="21">
        <v>150</v>
      </c>
      <c r="E19" s="16"/>
      <c r="F19" s="21">
        <v>150</v>
      </c>
      <c r="G19" s="16"/>
      <c r="H19" s="21">
        <v>150</v>
      </c>
      <c r="L19" s="2" t="s">
        <v>39</v>
      </c>
      <c r="M19" s="25">
        <f>M15-M16-M17-M18</f>
        <v>4999.7125429991102</v>
      </c>
      <c r="N19" s="2"/>
      <c r="O19" s="25">
        <f>O15-O16-O17-O18</f>
        <v>4909.175348928643</v>
      </c>
      <c r="P19" s="2"/>
      <c r="Q19" s="25">
        <f>Q15-Q16-Q17-Q18</f>
        <v>5237.5533428165018</v>
      </c>
    </row>
    <row r="20" spans="2:19" x14ac:dyDescent="0.25">
      <c r="D20" s="11"/>
      <c r="E20" s="16"/>
      <c r="F20" s="11"/>
      <c r="G20" s="16"/>
      <c r="H20" s="11"/>
      <c r="L20" s="1" t="s">
        <v>40</v>
      </c>
      <c r="M20" s="26">
        <f>D15</f>
        <v>3193.75</v>
      </c>
      <c r="N20" s="1"/>
      <c r="O20" s="26">
        <f>F15</f>
        <v>3425</v>
      </c>
      <c r="P20" s="1"/>
      <c r="Q20" s="26">
        <f>H15</f>
        <v>4000</v>
      </c>
      <c r="R20" s="4"/>
      <c r="S20" s="4"/>
    </row>
    <row r="21" spans="2:19" x14ac:dyDescent="0.25">
      <c r="B21" s="6" t="s">
        <v>13</v>
      </c>
      <c r="C21" s="6"/>
      <c r="D21" s="12">
        <f>SUM(D18:D20)</f>
        <v>350</v>
      </c>
      <c r="E21" s="15"/>
      <c r="F21" s="12">
        <f>SUM(F18:F20)</f>
        <v>350</v>
      </c>
      <c r="G21" s="15"/>
      <c r="H21" s="12">
        <f>SUM(H18:H20)</f>
        <v>350</v>
      </c>
      <c r="L21" s="3" t="s">
        <v>41</v>
      </c>
      <c r="M21" s="27">
        <f>M19-M20</f>
        <v>1805.9625429991102</v>
      </c>
      <c r="N21" s="3"/>
      <c r="O21" s="27">
        <f>O19-O20</f>
        <v>1484.175348928643</v>
      </c>
      <c r="P21" s="3"/>
      <c r="Q21" s="27">
        <f>Q19-Q20</f>
        <v>1237.5533428165018</v>
      </c>
    </row>
    <row r="22" spans="2:19" x14ac:dyDescent="0.25">
      <c r="B22" s="6" t="s">
        <v>14</v>
      </c>
      <c r="C22" s="6"/>
      <c r="D22" s="12">
        <f>D15+D21</f>
        <v>3543.75</v>
      </c>
      <c r="E22" s="15"/>
      <c r="F22" s="12">
        <f>F15+F21</f>
        <v>3775</v>
      </c>
      <c r="G22" s="15"/>
      <c r="H22" s="12">
        <f>H15+H21</f>
        <v>4350</v>
      </c>
      <c r="R22" s="4"/>
      <c r="S22" s="4"/>
    </row>
    <row r="23" spans="2:19" x14ac:dyDescent="0.25">
      <c r="E23" s="16"/>
      <c r="G23" s="19"/>
    </row>
    <row r="24" spans="2:19" ht="26.25" x14ac:dyDescent="0.4">
      <c r="E24" s="19"/>
      <c r="G24" s="19"/>
      <c r="L24" s="57" t="s">
        <v>46</v>
      </c>
      <c r="M24" s="57"/>
      <c r="N24" s="57"/>
      <c r="O24" s="57"/>
      <c r="P24" s="57"/>
    </row>
    <row r="25" spans="2:19" ht="15.75" x14ac:dyDescent="0.25">
      <c r="B25" s="7" t="s">
        <v>16</v>
      </c>
      <c r="E25" s="19"/>
      <c r="G25" s="19"/>
    </row>
    <row r="26" spans="2:19" ht="15.75" x14ac:dyDescent="0.25">
      <c r="C26" s="5" t="s">
        <v>15</v>
      </c>
      <c r="D26" s="5" t="s">
        <v>7</v>
      </c>
      <c r="E26" s="20" t="s">
        <v>15</v>
      </c>
      <c r="F26" s="5" t="s">
        <v>8</v>
      </c>
      <c r="G26" s="20" t="s">
        <v>15</v>
      </c>
      <c r="H26" s="5" t="s">
        <v>9</v>
      </c>
      <c r="L26" s="7" t="s">
        <v>47</v>
      </c>
    </row>
    <row r="27" spans="2:19" x14ac:dyDescent="0.25">
      <c r="B27" t="s">
        <v>18</v>
      </c>
      <c r="C27" s="14">
        <v>0.18</v>
      </c>
      <c r="D27" s="10">
        <f>$D$35*C27</f>
        <v>1625.3662886991974</v>
      </c>
      <c r="E27" s="14">
        <v>0.18</v>
      </c>
      <c r="F27" s="10">
        <f>$F$35*E27</f>
        <v>1335.7578140357775</v>
      </c>
      <c r="G27" s="14"/>
      <c r="H27" s="10">
        <f>$H$35*G27</f>
        <v>0</v>
      </c>
      <c r="M27" s="4" t="s">
        <v>43</v>
      </c>
      <c r="N27" s="4"/>
      <c r="O27" s="4" t="s">
        <v>44</v>
      </c>
      <c r="P27" s="4"/>
      <c r="Q27" s="4" t="s">
        <v>45</v>
      </c>
    </row>
    <row r="28" spans="2:19" x14ac:dyDescent="0.25">
      <c r="B28" t="s">
        <v>19</v>
      </c>
      <c r="C28" s="14">
        <v>1.6500000000000001E-2</v>
      </c>
      <c r="D28" s="10">
        <f t="shared" ref="D28:D34" si="3">$D$35*C28</f>
        <v>148.99190979742644</v>
      </c>
      <c r="E28" s="14">
        <v>6.4999999999999997E-3</v>
      </c>
      <c r="F28" s="10">
        <f t="shared" ref="F28:F34" si="4">$F$35*E28</f>
        <v>48.235698840180859</v>
      </c>
      <c r="G28" s="14"/>
      <c r="H28" s="10">
        <f t="shared" ref="H28:H34" si="5">$H$35*G28</f>
        <v>0</v>
      </c>
      <c r="L28" t="s">
        <v>48</v>
      </c>
      <c r="M28" s="11">
        <f>D40</f>
        <v>9481.3033507453183</v>
      </c>
      <c r="O28" s="11">
        <f>F40</f>
        <v>7791.9205818753699</v>
      </c>
      <c r="Q28" s="11">
        <f>H40</f>
        <v>6187.7667140825042</v>
      </c>
    </row>
    <row r="29" spans="2:19" x14ac:dyDescent="0.25">
      <c r="B29" t="s">
        <v>20</v>
      </c>
      <c r="C29" s="14">
        <v>7.5999999999999998E-2</v>
      </c>
      <c r="D29" s="10">
        <f t="shared" si="3"/>
        <v>686.26576633966113</v>
      </c>
      <c r="E29" s="14">
        <v>0.03</v>
      </c>
      <c r="F29" s="10">
        <f t="shared" si="4"/>
        <v>222.62630233929627</v>
      </c>
      <c r="G29" s="14"/>
      <c r="H29" s="10">
        <f t="shared" si="5"/>
        <v>0</v>
      </c>
      <c r="L29" t="s">
        <v>49</v>
      </c>
      <c r="M29" s="11">
        <f>D15*-1</f>
        <v>-3193.75</v>
      </c>
      <c r="O29" s="11">
        <f>F15*-1</f>
        <v>-3425</v>
      </c>
      <c r="Q29" s="11">
        <f>H15*-1</f>
        <v>-4000</v>
      </c>
    </row>
    <row r="30" spans="2:19" x14ac:dyDescent="0.25">
      <c r="B30" t="s">
        <v>21</v>
      </c>
      <c r="C30" s="56">
        <f>'Lucro Real'!D16</f>
        <v>8.3049999999999999E-2</v>
      </c>
      <c r="D30" s="10">
        <f t="shared" si="3"/>
        <v>749.92594598037977</v>
      </c>
      <c r="E30" s="56">
        <f>'Lucro Presumido'!D10</f>
        <v>2.2800000000000001E-2</v>
      </c>
      <c r="F30" s="10">
        <f t="shared" si="4"/>
        <v>169.19598977786518</v>
      </c>
      <c r="G30" s="14"/>
      <c r="H30" s="10">
        <f t="shared" si="5"/>
        <v>0</v>
      </c>
    </row>
    <row r="31" spans="2:19" x14ac:dyDescent="0.25">
      <c r="B31" t="s">
        <v>9</v>
      </c>
      <c r="C31" s="14">
        <v>0</v>
      </c>
      <c r="D31" s="10">
        <f t="shared" si="3"/>
        <v>0</v>
      </c>
      <c r="E31" s="14">
        <v>0</v>
      </c>
      <c r="F31" s="10">
        <f t="shared" si="4"/>
        <v>0</v>
      </c>
      <c r="G31" s="56">
        <f>'SIMPLES NACIONAL'!C7</f>
        <v>4.4999999999999998E-2</v>
      </c>
      <c r="H31" s="10">
        <f t="shared" si="5"/>
        <v>278.44950213371266</v>
      </c>
      <c r="L31" s="3" t="s">
        <v>50</v>
      </c>
      <c r="M31" s="28">
        <f>(M28+M29)/M28</f>
        <v>0.6631528512639624</v>
      </c>
      <c r="N31" s="3"/>
      <c r="O31" s="28">
        <f>(O28+O29)/O28</f>
        <v>0.56044213181961533</v>
      </c>
      <c r="P31" s="3"/>
      <c r="Q31" s="28">
        <f>(Q28+Q29)/Q28</f>
        <v>0.35356321839080468</v>
      </c>
    </row>
    <row r="32" spans="2:19" x14ac:dyDescent="0.25">
      <c r="B32" t="s">
        <v>22</v>
      </c>
      <c r="C32" s="14">
        <v>0.02</v>
      </c>
      <c r="D32" s="10">
        <f t="shared" si="3"/>
        <v>180.59625429991084</v>
      </c>
      <c r="E32" s="14">
        <v>0.02</v>
      </c>
      <c r="F32" s="10">
        <f t="shared" si="4"/>
        <v>148.41753489286418</v>
      </c>
      <c r="G32" s="14">
        <v>0.02</v>
      </c>
      <c r="H32" s="10">
        <f t="shared" si="5"/>
        <v>123.75533428165009</v>
      </c>
    </row>
    <row r="33" spans="2:17" ht="15.75" x14ac:dyDescent="0.25">
      <c r="B33" t="s">
        <v>23</v>
      </c>
      <c r="C33" s="14">
        <v>3.2000000000000001E-2</v>
      </c>
      <c r="D33" s="10">
        <f t="shared" si="3"/>
        <v>288.95400687985733</v>
      </c>
      <c r="E33" s="14">
        <v>3.2000000000000001E-2</v>
      </c>
      <c r="F33" s="10">
        <f t="shared" si="4"/>
        <v>237.46805582858269</v>
      </c>
      <c r="G33" s="14">
        <v>3.2000000000000001E-2</v>
      </c>
      <c r="H33" s="10">
        <f t="shared" si="5"/>
        <v>198.00853485064013</v>
      </c>
      <c r="L33" s="7" t="s">
        <v>51</v>
      </c>
    </row>
    <row r="34" spans="2:17" x14ac:dyDescent="0.25">
      <c r="B34" s="3" t="s">
        <v>24</v>
      </c>
      <c r="C34" s="22">
        <v>0.2</v>
      </c>
      <c r="D34" s="23">
        <f t="shared" si="3"/>
        <v>1805.9625429991083</v>
      </c>
      <c r="E34" s="22">
        <v>0.2</v>
      </c>
      <c r="F34" s="23">
        <f t="shared" si="4"/>
        <v>1484.1753489286421</v>
      </c>
      <c r="G34" s="22">
        <v>0.2</v>
      </c>
      <c r="H34" s="23">
        <f t="shared" si="5"/>
        <v>1237.5533428165008</v>
      </c>
    </row>
    <row r="35" spans="2:17" x14ac:dyDescent="0.25">
      <c r="B35" s="6" t="s">
        <v>25</v>
      </c>
      <c r="C35" s="15">
        <f>SUM(C27:C34)</f>
        <v>0.60755000000000003</v>
      </c>
      <c r="D35" s="12">
        <f>D22/(1-(C35/1))</f>
        <v>9029.8127149955417</v>
      </c>
      <c r="E35" s="15">
        <f>SUM(E27:E34)</f>
        <v>0.49130000000000001</v>
      </c>
      <c r="F35" s="12">
        <f>F22/(1-(E35/1))</f>
        <v>7420.8767446432093</v>
      </c>
      <c r="G35" s="15">
        <f>SUM(G27:G34)</f>
        <v>0.29700000000000004</v>
      </c>
      <c r="H35" s="12">
        <f>H22/(1-(G35/1))</f>
        <v>6187.7667140825042</v>
      </c>
      <c r="L35" t="s">
        <v>48</v>
      </c>
      <c r="M35" s="11">
        <f>D40</f>
        <v>9481.3033507453183</v>
      </c>
      <c r="O35" s="11">
        <f>F40</f>
        <v>7791.9205818753699</v>
      </c>
      <c r="Q35" s="11">
        <f>H40</f>
        <v>6187.7667140825042</v>
      </c>
    </row>
    <row r="36" spans="2:17" x14ac:dyDescent="0.25">
      <c r="C36" s="16"/>
      <c r="D36" s="11"/>
      <c r="E36" s="16"/>
      <c r="F36" s="11"/>
      <c r="G36" s="16"/>
      <c r="H36" s="11"/>
      <c r="L36" t="s">
        <v>49</v>
      </c>
      <c r="M36" s="11">
        <f>M29</f>
        <v>-3193.75</v>
      </c>
      <c r="O36" s="11">
        <f>O29</f>
        <v>-3425</v>
      </c>
      <c r="Q36" s="11">
        <f>Q29</f>
        <v>-4000</v>
      </c>
    </row>
    <row r="37" spans="2:17" x14ac:dyDescent="0.25">
      <c r="B37" t="s">
        <v>26</v>
      </c>
      <c r="C37" s="17">
        <v>0.05</v>
      </c>
      <c r="D37" s="13">
        <f>D35*C37</f>
        <v>451.49063574977708</v>
      </c>
      <c r="E37" s="17">
        <v>0.05</v>
      </c>
      <c r="F37" s="13">
        <f>F35*E37</f>
        <v>371.04383723216051</v>
      </c>
      <c r="G37" s="17">
        <v>0</v>
      </c>
      <c r="H37" s="13">
        <f>H35*G37</f>
        <v>0</v>
      </c>
      <c r="L37" t="s">
        <v>52</v>
      </c>
      <c r="M37" s="11">
        <f>(SUM(D27:D32)+D21)*-1</f>
        <v>-3741.1461651165755</v>
      </c>
      <c r="O37" s="11">
        <f>(SUM(F27:F32)+F21)*-1</f>
        <v>-2274.2333398859842</v>
      </c>
      <c r="Q37" s="11">
        <f>(SUM(H27:H32)+H21)*-1</f>
        <v>-752.20483641536271</v>
      </c>
    </row>
    <row r="38" spans="2:17" x14ac:dyDescent="0.25">
      <c r="B38" t="s">
        <v>27</v>
      </c>
      <c r="C38" s="17"/>
      <c r="D38" s="13">
        <f>D35*C38</f>
        <v>0</v>
      </c>
      <c r="E38" s="17"/>
      <c r="F38" s="13">
        <f>F35*E38</f>
        <v>0</v>
      </c>
      <c r="G38" s="17"/>
      <c r="H38" s="13">
        <f>H35*G38</f>
        <v>0</v>
      </c>
      <c r="L38" t="s">
        <v>53</v>
      </c>
      <c r="M38" s="11">
        <f>SUM(M36:M37)</f>
        <v>-6934.8961651165755</v>
      </c>
      <c r="O38" s="11">
        <f>SUM(O36:O37)</f>
        <v>-5699.2333398859846</v>
      </c>
      <c r="Q38" s="11">
        <f>SUM(Q36:Q37)</f>
        <v>-4752.2048364153625</v>
      </c>
    </row>
    <row r="39" spans="2:17" x14ac:dyDescent="0.25">
      <c r="C39" s="16"/>
      <c r="D39" s="11"/>
      <c r="E39" s="16"/>
      <c r="F39" s="11"/>
      <c r="G39" s="16"/>
      <c r="H39" s="11"/>
    </row>
    <row r="40" spans="2:17" x14ac:dyDescent="0.25">
      <c r="B40" s="6" t="s">
        <v>28</v>
      </c>
      <c r="C40" s="15"/>
      <c r="D40" s="12">
        <f>D35+D37+D38</f>
        <v>9481.3033507453183</v>
      </c>
      <c r="E40" s="15"/>
      <c r="F40" s="12">
        <f>F35+F37+F38</f>
        <v>7791.9205818753699</v>
      </c>
      <c r="G40" s="15"/>
      <c r="H40" s="12">
        <f>H35+H37+H38</f>
        <v>6187.7667140825042</v>
      </c>
      <c r="L40" s="3" t="s">
        <v>54</v>
      </c>
      <c r="M40" s="28">
        <f>(SUM(M35,M38)/M35)</f>
        <v>0.26857142857142857</v>
      </c>
      <c r="N40" s="3"/>
      <c r="O40" s="28">
        <f>SUM(O35,O38)/O35</f>
        <v>0.26857142857142857</v>
      </c>
      <c r="P40" s="3"/>
      <c r="Q40" s="28">
        <f>SUM(Q35,Q38)/Q35</f>
        <v>0.23200000000000012</v>
      </c>
    </row>
    <row r="42" spans="2:17" ht="15.75" x14ac:dyDescent="0.25">
      <c r="L42" s="7"/>
    </row>
    <row r="44" spans="2:17" x14ac:dyDescent="0.25">
      <c r="M44" s="11"/>
      <c r="O44" s="11"/>
      <c r="Q44" s="11"/>
    </row>
    <row r="45" spans="2:17" x14ac:dyDescent="0.25">
      <c r="M45" s="19"/>
      <c r="O45" s="19"/>
      <c r="Q45" s="19"/>
    </row>
    <row r="47" spans="2:17" x14ac:dyDescent="0.25">
      <c r="M47" s="29"/>
      <c r="N47" s="29"/>
      <c r="O47" s="29"/>
      <c r="P47" s="29"/>
      <c r="Q47" s="29"/>
    </row>
  </sheetData>
  <mergeCells count="3">
    <mergeCell ref="B3:F3"/>
    <mergeCell ref="L3:P3"/>
    <mergeCell ref="L24:P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SIMPLES NACIONAL</vt:lpstr>
      <vt:lpstr>Lucro Presumido</vt:lpstr>
      <vt:lpstr>Lucro Real</vt:lpstr>
      <vt:lpstr>FORMAÇÃO PREÇO DE VENDAS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Cliente</cp:lastModifiedBy>
  <dcterms:created xsi:type="dcterms:W3CDTF">2023-07-16T14:57:04Z</dcterms:created>
  <dcterms:modified xsi:type="dcterms:W3CDTF">2023-08-22T13:45:02Z</dcterms:modified>
</cp:coreProperties>
</file>